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22-2023\Biorrefinarias\"/>
    </mc:Choice>
  </mc:AlternateContent>
  <xr:revisionPtr revIDLastSave="0" documentId="13_ncr:1_{3FE04F50-7F45-4293-85C3-280018373E50}" xr6:coauthVersionLast="47" xr6:coauthVersionMax="47" xr10:uidLastSave="{00000000-0000-0000-0000-000000000000}"/>
  <bookViews>
    <workbookView xWindow="-40" yWindow="-40" windowWidth="19280" windowHeight="10160" activeTab="2" xr2:uid="{BFE756E1-BE30-4B7C-AC10-62A0C3C22250}"/>
  </bookViews>
  <sheets>
    <sheet name="Problem setting" sheetId="1" r:id="rId1"/>
    <sheet name="Mass balance" sheetId="2" r:id="rId2"/>
    <sheet name="Results" sheetId="3" r:id="rId3"/>
    <sheet name="Heat for water vapour" sheetId="4" r:id="rId4"/>
  </sheets>
  <definedNames>
    <definedName name="solver_adj" localSheetId="1" hidden="1">'Mass balance'!$I$6:$I$7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'Mass balance'!$H$1</definedName>
    <definedName name="solver_lhs2" localSheetId="1" hidden="1">'Mass balance'!$I$6</definedName>
    <definedName name="solver_lhs3" localSheetId="1" hidden="1">'Mass balance'!$I$7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'Mass balance'!$H$2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3</definedName>
    <definedName name="solver_rel3" localSheetId="1" hidden="1">3</definedName>
    <definedName name="solver_rhs1" localSheetId="1" hidden="1">522.942</definedName>
    <definedName name="solver_rhs2" localSheetId="1" hidden="1">0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0.918242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E7" i="2"/>
  <c r="F7" i="2" s="1"/>
  <c r="E8" i="2"/>
  <c r="F8" i="2" s="1"/>
  <c r="E6" i="2"/>
  <c r="F6" i="2" s="1"/>
  <c r="E5" i="2"/>
  <c r="F5" i="2" s="1"/>
  <c r="E4" i="2"/>
  <c r="D6" i="4"/>
  <c r="D4" i="4"/>
  <c r="H6" i="4"/>
  <c r="C13" i="4"/>
  <c r="K2" i="2"/>
  <c r="K1" i="2"/>
  <c r="C8" i="3" l="1"/>
  <c r="E8" i="3"/>
  <c r="B3" i="3"/>
  <c r="E9" i="4" s="1"/>
  <c r="E13" i="4" s="1"/>
  <c r="B5" i="3"/>
  <c r="C9" i="3"/>
  <c r="C10" i="3"/>
  <c r="E10" i="3" s="1"/>
  <c r="B1" i="3"/>
  <c r="D7" i="4"/>
  <c r="H2" i="2"/>
  <c r="E10" i="2"/>
  <c r="F4" i="2"/>
  <c r="H1" i="2" s="1"/>
  <c r="F5" i="3" l="1"/>
  <c r="E15" i="4"/>
  <c r="C12" i="3"/>
  <c r="F12" i="3" l="1"/>
  <c r="C14" i="3"/>
  <c r="C15" i="3"/>
  <c r="C16" i="3"/>
  <c r="C19" i="4" l="1"/>
  <c r="F19" i="4" s="1"/>
  <c r="D22" i="4" l="1"/>
  <c r="D21" i="4"/>
  <c r="D23" i="4"/>
</calcChain>
</file>

<file path=xl/sharedStrings.xml><?xml version="1.0" encoding="utf-8"?>
<sst xmlns="http://schemas.openxmlformats.org/spreadsheetml/2006/main" count="111" uniqueCount="89">
  <si>
    <t>Settings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</si>
  <si>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</si>
  <si>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</si>
  <si>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O/CH</t>
    </r>
    <r>
      <rPr>
        <vertAlign val="subscript"/>
        <sz val="11"/>
        <color theme="1"/>
        <rFont val="Calibri"/>
        <family val="2"/>
        <scheme val="minor"/>
      </rPr>
      <t>4</t>
    </r>
  </si>
  <si>
    <t>bar</t>
  </si>
  <si>
    <r>
      <t>T</t>
    </r>
    <r>
      <rPr>
        <vertAlign val="subscript"/>
        <sz val="11"/>
        <color theme="1"/>
        <rFont val="Calibri"/>
        <family val="2"/>
        <scheme val="minor"/>
      </rPr>
      <t>reactor</t>
    </r>
  </si>
  <si>
    <r>
      <t>P</t>
    </r>
    <r>
      <rPr>
        <vertAlign val="subscript"/>
        <sz val="11"/>
        <color theme="1"/>
        <rFont val="Calibri"/>
        <family val="2"/>
        <scheme val="minor"/>
      </rPr>
      <t>total</t>
    </r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</si>
  <si>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C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</si>
  <si>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&amp; other gas</t>
    </r>
  </si>
  <si>
    <t>Lets set 1 kmol CH4</t>
  </si>
  <si>
    <t>In</t>
  </si>
  <si>
    <t>Out</t>
  </si>
  <si>
    <r>
      <t xml:space="preserve">t em 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C</t>
    </r>
  </si>
  <si>
    <t>CO</t>
  </si>
  <si>
    <t>reforming</t>
  </si>
  <si>
    <t>shift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</si>
  <si>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</si>
  <si>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</si>
  <si>
    <t>x</t>
  </si>
  <si>
    <t>y</t>
  </si>
  <si>
    <t>1-x-y</t>
  </si>
  <si>
    <t>carbon balance</t>
  </si>
  <si>
    <t>1=y+x+[CO2]</t>
  </si>
  <si>
    <t>hydrogen balance</t>
  </si>
  <si>
    <t>oxygen balance</t>
  </si>
  <si>
    <t>3=y+2*(1-x-y)+[H2O]</t>
  </si>
  <si>
    <t>[H2O]=3-y-2+2x+2y</t>
  </si>
  <si>
    <t>[H2O]=1+y+2x</t>
  </si>
  <si>
    <t>1+y+2x</t>
  </si>
  <si>
    <t>[H2]=5-(1+y+2x)</t>
  </si>
  <si>
    <t>x+1+y+2x+y+4-y-2x+1-x-y</t>
  </si>
  <si>
    <t>x/6</t>
  </si>
  <si>
    <t>y/6</t>
  </si>
  <si>
    <t>(1+y+2x)/6</t>
  </si>
  <si>
    <t>(1-x-y)/6</t>
  </si>
  <si>
    <t>KpReforming= exp [24.383-15405/t]</t>
  </si>
  <si>
    <t>KpShift= exp [2299/t-2.79]</t>
  </si>
  <si>
    <t xml:space="preserve">KpReforming </t>
  </si>
  <si>
    <t xml:space="preserve">KpShift </t>
  </si>
  <si>
    <t>kmol i</t>
  </si>
  <si>
    <t>(pCOpH2^3)/(pCH4pH2O)</t>
  </si>
  <si>
    <t>(pCO2pH2)/(pCOpH2O)</t>
  </si>
  <si>
    <t>ok</t>
  </si>
  <si>
    <t>pi/Ptotal=ni/ntotal</t>
  </si>
  <si>
    <t>pi</t>
  </si>
  <si>
    <t>Iterativamente SOLVER</t>
  </si>
  <si>
    <t>kgH2O/kgH2</t>
  </si>
  <si>
    <t>Dalton's Law</t>
  </si>
  <si>
    <t>Water vapor energy??</t>
  </si>
  <si>
    <t>OFF-GAS LHV</t>
  </si>
  <si>
    <t>OFF-GAS to heat</t>
  </si>
  <si>
    <t>OFF-GAS to heat &amp; electricity</t>
  </si>
  <si>
    <t>kgCO2/kgH2</t>
  </si>
  <si>
    <t>CH4</t>
  </si>
  <si>
    <t>CO2</t>
  </si>
  <si>
    <t>CO2eq</t>
  </si>
  <si>
    <t>kgCO2eq/kgH2</t>
  </si>
  <si>
    <t>Mass (kg)</t>
  </si>
  <si>
    <t>dry OFF-GAS</t>
  </si>
  <si>
    <t>IPCC AR6</t>
  </si>
  <si>
    <t>Total</t>
  </si>
  <si>
    <t>kgOFF-GAS/kgH2</t>
  </si>
  <si>
    <t>mC</t>
  </si>
  <si>
    <t>mH</t>
  </si>
  <si>
    <t>mO</t>
  </si>
  <si>
    <t>MJ/kg</t>
  </si>
  <si>
    <t>MJ/kgH2</t>
  </si>
  <si>
    <t>kWh/kgH2</t>
  </si>
  <si>
    <t>mcpdeltaT+Heat vaporization+MCPDELTAT</t>
  </si>
  <si>
    <t>TinH2O</t>
  </si>
  <si>
    <t>Tsat</t>
  </si>
  <si>
    <t>Tout-in Reformer</t>
  </si>
  <si>
    <t xml:space="preserve">energy needs: </t>
  </si>
  <si>
    <t>Heat transfer efficiency</t>
  </si>
  <si>
    <t>CH4 LHV (MJ/kg)</t>
  </si>
  <si>
    <t>kgCH4/kgH2</t>
  </si>
  <si>
    <t>Real consumption</t>
  </si>
  <si>
    <t>nTotal</t>
  </si>
  <si>
    <t xml:space="preserve">1st mass balance and input/output system table </t>
  </si>
  <si>
    <t>2nd iteractive procedure with Solver function</t>
  </si>
  <si>
    <t>cp</t>
  </si>
  <si>
    <t>kg/kmol</t>
  </si>
  <si>
    <t>H2O</t>
  </si>
  <si>
    <t>kJ/kgH2O</t>
  </si>
  <si>
    <t>kJ/(kmol.K)</t>
  </si>
  <si>
    <t>[H2]=4-y-4x</t>
  </si>
  <si>
    <t>4+6=2[H2]+2[H2O]+4X</t>
  </si>
  <si>
    <t>4-y-4x</t>
  </si>
  <si>
    <t>(4-y-4x)/6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</si>
</sst>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9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498475</xdr:colOff>
      <xdr:row>1</xdr:row>
      <xdr:rowOff>161925</xdr:rowOff>
    </xdr:from>
    <xdr:to>
      <xdr:col>4</xdr:col>
      <xdr:colOff>352425</xdr:colOff>
      <xdr:row>6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D3AF7B-A8AC-DC90-9D99-3EA4CDAE03DF}"/>
            </a:ext>
          </a:extLst>
        </xdr:cNvPr>
        <xdr:cNvSpPr txBox="1"/>
      </xdr:nvSpPr>
      <xdr:spPr>
        <a:xfrm>
          <a:off x="1108075" y="349250"/>
          <a:ext cx="1682750" cy="80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                </a:t>
          </a:r>
        </a:p>
        <a:p>
          <a:pPr algn="ctr"/>
          <a:r>
            <a:rPr lang="pt-PT" sz="1100" b="1"/>
            <a:t>SMR</a:t>
          </a:r>
        </a:p>
      </xdr:txBody>
    </xdr:sp>
    <xdr:clientData/>
  </xdr:twoCellAnchor>
  <xdr:twoCellAnchor>
    <xdr:from>
      <xdr:col>0</xdr:col>
      <xdr:colOff>552450</xdr:colOff>
      <xdr:row>2</xdr:row>
      <xdr:rowOff>165100</xdr:rowOff>
    </xdr:from>
    <xdr:to>
      <xdr:col>1</xdr:col>
      <xdr:colOff>501650</xdr:colOff>
      <xdr:row>2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EFAFF0A-7C7D-2D29-91FA-F18E6A9C6C7F}"/>
            </a:ext>
          </a:extLst>
        </xdr:cNvPr>
        <xdr:cNvCxnSpPr/>
      </xdr:nvCxnSpPr>
      <xdr:spPr>
        <a:xfrm>
          <a:off x="552450" y="539750"/>
          <a:ext cx="558800" cy="6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549275</xdr:colOff>
      <xdr:row>5</xdr:row>
      <xdr:rowOff>9525</xdr:rowOff>
    </xdr:from>
    <xdr:to>
      <xdr:col>1</xdr:col>
      <xdr:colOff>498475</xdr:colOff>
      <xdr:row>5</xdr:row>
      <xdr:rowOff>15875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6C2F9E3-8316-416B-A7F1-67B788B58179}"/>
            </a:ext>
          </a:extLst>
        </xdr:cNvPr>
        <xdr:cNvCxnSpPr/>
      </xdr:nvCxnSpPr>
      <xdr:spPr>
        <a:xfrm>
          <a:off x="549275" y="946150"/>
          <a:ext cx="558800" cy="6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358775</xdr:colOff>
      <xdr:row>3</xdr:row>
      <xdr:rowOff>177800</xdr:rowOff>
    </xdr:from>
    <xdr:to>
      <xdr:col>5</xdr:col>
      <xdr:colOff>307975</xdr:colOff>
      <xdr:row>3</xdr:row>
      <xdr:rowOff>184150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AB6F69F-E477-4D91-A9A8-01A203EAAF4F}"/>
            </a:ext>
          </a:extLst>
        </xdr:cNvPr>
        <xdr:cNvCxnSpPr/>
      </xdr:nvCxnSpPr>
      <xdr:spPr>
        <a:xfrm>
          <a:off x="2797175" y="765175"/>
          <a:ext cx="558800" cy="6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317500</xdr:colOff>
      <xdr:row>6</xdr:row>
      <xdr:rowOff>149225</xdr:rowOff>
    </xdr:from>
    <xdr:to>
      <xdr:col>15</xdr:col>
      <xdr:colOff>98553</xdr:colOff>
      <xdr:row>10</xdr:row>
      <xdr:rowOff>105095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27B585F-CA40-6F7C-6330-370BE700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5500" y="1349375"/>
          <a:ext cx="5877053" cy="755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231775</xdr:colOff>
      <xdr:row>16</xdr:row>
      <xdr:rowOff>41274</xdr:rowOff>
    </xdr:from>
    <xdr:to>
      <xdr:col>13</xdr:col>
      <xdr:colOff>296832</xdr:colOff>
      <xdr:row>23</xdr:row>
      <xdr:rowOff>181518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3EE31B3-CF60-7703-A1F6-110BAC0D8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8975" y="3038474"/>
          <a:ext cx="3722657" cy="1451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8DCE-63AE-4644-9152-62D2930DCA56}">
  <dimension ref="A1:M11"/>
  <sheetViews>
    <sheetView workbookViewId="0">
      <selection activeCell="G12" sqref="G12:H13"/>
    </sheetView>
  </sheetViews>
  <sheetFormatPr defaultRowHeight="14.75" x14ac:dyDescent="0.75"/>
  <sheetData>
    <row r="1" spans="1:13" x14ac:dyDescent="0.75">
      <c r="A1" s="1" t="s">
        <v>0</v>
      </c>
    </row>
    <row r="2" spans="1:13" ht="16.75" x14ac:dyDescent="0.95">
      <c r="B2" t="s">
        <v>1</v>
      </c>
    </row>
    <row r="3" spans="1:13" x14ac:dyDescent="0.75">
      <c r="I3" t="s">
        <v>35</v>
      </c>
      <c r="M3" t="s">
        <v>14</v>
      </c>
    </row>
    <row r="4" spans="1:13" ht="16.75" x14ac:dyDescent="0.95">
      <c r="G4" t="s">
        <v>8</v>
      </c>
      <c r="I4" t="s">
        <v>36</v>
      </c>
      <c r="L4" t="s">
        <v>12</v>
      </c>
      <c r="M4" t="s">
        <v>15</v>
      </c>
    </row>
    <row r="6" spans="1:13" ht="16.75" x14ac:dyDescent="0.95">
      <c r="B6" t="s">
        <v>2</v>
      </c>
    </row>
    <row r="8" spans="1:13" ht="16.75" x14ac:dyDescent="0.95">
      <c r="B8" t="s">
        <v>3</v>
      </c>
      <c r="C8">
        <v>3</v>
      </c>
    </row>
    <row r="10" spans="1:13" ht="16.75" x14ac:dyDescent="0.95">
      <c r="B10" t="s">
        <v>6</v>
      </c>
      <c r="C10">
        <v>15</v>
      </c>
      <c r="D10" t="s">
        <v>4</v>
      </c>
    </row>
    <row r="11" spans="1:13" ht="16.75" x14ac:dyDescent="0.95">
      <c r="B11" t="s">
        <v>5</v>
      </c>
      <c r="C11">
        <v>850</v>
      </c>
      <c r="D11" t="s">
        <v>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B87F-118B-47F3-8093-D255C9BD4FF1}">
  <dimension ref="A1:N24"/>
  <sheetViews>
    <sheetView workbookViewId="0">
      <selection activeCell="I6" sqref="I6"/>
    </sheetView>
  </sheetViews>
  <sheetFormatPr defaultRowHeight="14.75" x14ac:dyDescent="0.75"/>
  <cols>
    <col min="4" max="4" width="10.31640625" bestFit="1" customWidth="1"/>
    <col min="9" max="9" width="21.54296875" bestFit="1" customWidth="1"/>
  </cols>
  <sheetData>
    <row r="1" spans="1:14" x14ac:dyDescent="0.75">
      <c r="A1" t="s">
        <v>9</v>
      </c>
      <c r="H1" s="6">
        <f>(F6*F7^3)/(F4*F5)</f>
        <v>522.94200763654806</v>
      </c>
      <c r="I1" t="s">
        <v>40</v>
      </c>
      <c r="J1" t="s">
        <v>37</v>
      </c>
      <c r="K1">
        <f xml:space="preserve"> EXP( 24.383-15405/850)</f>
        <v>522.94201515572126</v>
      </c>
      <c r="N1" t="s">
        <v>14</v>
      </c>
    </row>
    <row r="2" spans="1:14" x14ac:dyDescent="0.75">
      <c r="D2" t="s">
        <v>47</v>
      </c>
      <c r="H2" s="6">
        <f>F8*F7/(F6*F5)</f>
        <v>0.91824200012101342</v>
      </c>
      <c r="I2" t="s">
        <v>41</v>
      </c>
      <c r="J2" t="s">
        <v>38</v>
      </c>
      <c r="K2">
        <f>EXP(2299/850-2.79)</f>
        <v>0.91824217345371983</v>
      </c>
      <c r="M2" t="s">
        <v>12</v>
      </c>
      <c r="N2" t="s">
        <v>15</v>
      </c>
    </row>
    <row r="3" spans="1:14" x14ac:dyDescent="0.75">
      <c r="A3" s="4" t="s">
        <v>39</v>
      </c>
      <c r="B3" s="5" t="s">
        <v>10</v>
      </c>
      <c r="C3" s="5" t="s">
        <v>11</v>
      </c>
      <c r="D3" s="5" t="s">
        <v>43</v>
      </c>
      <c r="F3" s="1" t="s">
        <v>44</v>
      </c>
    </row>
    <row r="4" spans="1:14" ht="16.75" x14ac:dyDescent="0.95">
      <c r="A4" s="4" t="s">
        <v>1</v>
      </c>
      <c r="B4" s="4">
        <v>1</v>
      </c>
      <c r="C4" s="4" t="s">
        <v>18</v>
      </c>
      <c r="D4" s="4" t="s">
        <v>31</v>
      </c>
      <c r="E4" s="6">
        <f>I6/(6-2*I6)</f>
        <v>1.8995294727741634E-2</v>
      </c>
      <c r="F4">
        <f>E4*'Problem setting'!$C$10</f>
        <v>0.2849294209161245</v>
      </c>
    </row>
    <row r="5" spans="1:14" ht="16.75" x14ac:dyDescent="0.95">
      <c r="A5" s="4" t="s">
        <v>2</v>
      </c>
      <c r="B5" s="4">
        <v>3</v>
      </c>
      <c r="C5" s="4" t="s">
        <v>28</v>
      </c>
      <c r="D5" s="4" t="s">
        <v>33</v>
      </c>
      <c r="E5" s="6">
        <f>(1+I7+2*I6)/(6-2*I6)</f>
        <v>0.31026073703293755</v>
      </c>
      <c r="F5">
        <f>E5*'Problem setting'!$C$10</f>
        <v>4.6539110554940635</v>
      </c>
      <c r="H5" s="1" t="s">
        <v>45</v>
      </c>
    </row>
    <row r="6" spans="1:14" x14ac:dyDescent="0.75">
      <c r="A6" s="4" t="s">
        <v>13</v>
      </c>
      <c r="B6" s="4">
        <v>0</v>
      </c>
      <c r="C6" s="4" t="s">
        <v>19</v>
      </c>
      <c r="D6" s="4" t="s">
        <v>32</v>
      </c>
      <c r="E6" s="6">
        <f>I7/(6-2*I6)</f>
        <v>9.9271716001540375E-2</v>
      </c>
      <c r="F6">
        <f>E6*'Problem setting'!$C$10</f>
        <v>1.4890757400231056</v>
      </c>
      <c r="H6" t="s">
        <v>18</v>
      </c>
      <c r="I6" s="7">
        <v>0.10980038694400683</v>
      </c>
    </row>
    <row r="7" spans="1:14" ht="16.75" x14ac:dyDescent="0.95">
      <c r="A7" s="4" t="s">
        <v>17</v>
      </c>
      <c r="B7" s="4">
        <v>0</v>
      </c>
      <c r="C7" s="4" t="s">
        <v>87</v>
      </c>
      <c r="D7" s="4" t="s">
        <v>88</v>
      </c>
      <c r="E7" s="6">
        <f>(4-I7-4*I6)/(6-2*I6)</f>
        <v>0.51674083139114857</v>
      </c>
      <c r="F7">
        <f>E7*'Problem setting'!$C$10</f>
        <v>7.7511124708672288</v>
      </c>
      <c r="H7" t="s">
        <v>19</v>
      </c>
      <c r="I7" s="7">
        <v>0.57383015035011287</v>
      </c>
    </row>
    <row r="8" spans="1:14" ht="16.75" x14ac:dyDescent="0.95">
      <c r="A8" s="4" t="s">
        <v>16</v>
      </c>
      <c r="B8" s="4">
        <v>0</v>
      </c>
      <c r="C8" s="4" t="s">
        <v>20</v>
      </c>
      <c r="D8" s="4" t="s">
        <v>34</v>
      </c>
      <c r="E8" s="6">
        <f>(1-I6-I7)/(6-2*I6)</f>
        <v>5.4731420846631872E-2</v>
      </c>
      <c r="F8">
        <f>E8*'Problem setting'!$C$10</f>
        <v>0.8209713126994781</v>
      </c>
    </row>
    <row r="9" spans="1:14" x14ac:dyDescent="0.75">
      <c r="C9" t="s">
        <v>30</v>
      </c>
    </row>
    <row r="10" spans="1:14" x14ac:dyDescent="0.75">
      <c r="B10" s="3" t="s">
        <v>77</v>
      </c>
      <c r="C10">
        <f>6-2*I6</f>
        <v>5.7803992261119861</v>
      </c>
      <c r="E10">
        <f>SUM(E4:E8)</f>
        <v>1</v>
      </c>
      <c r="F10" t="s">
        <v>42</v>
      </c>
    </row>
    <row r="11" spans="1:14" x14ac:dyDescent="0.75">
      <c r="B11" s="3"/>
    </row>
    <row r="12" spans="1:14" ht="18.5" x14ac:dyDescent="0.9">
      <c r="A12" s="2" t="s">
        <v>21</v>
      </c>
      <c r="G12" s="8" t="s">
        <v>78</v>
      </c>
    </row>
    <row r="13" spans="1:14" ht="18.5" x14ac:dyDescent="0.9">
      <c r="A13" t="s">
        <v>22</v>
      </c>
      <c r="G13" s="9" t="s">
        <v>79</v>
      </c>
    </row>
    <row r="15" spans="1:14" x14ac:dyDescent="0.75">
      <c r="A15" s="1" t="s">
        <v>24</v>
      </c>
    </row>
    <row r="16" spans="1:14" x14ac:dyDescent="0.75">
      <c r="A16" t="s">
        <v>25</v>
      </c>
    </row>
    <row r="18" spans="1:1" x14ac:dyDescent="0.75">
      <c r="A18" t="s">
        <v>26</v>
      </c>
    </row>
    <row r="19" spans="1:1" x14ac:dyDescent="0.75">
      <c r="A19" t="s">
        <v>27</v>
      </c>
    </row>
    <row r="21" spans="1:1" x14ac:dyDescent="0.75">
      <c r="A21" s="2" t="s">
        <v>23</v>
      </c>
    </row>
    <row r="22" spans="1:1" x14ac:dyDescent="0.75">
      <c r="A22" t="s">
        <v>86</v>
      </c>
    </row>
    <row r="23" spans="1:1" x14ac:dyDescent="0.75">
      <c r="A23" t="s">
        <v>29</v>
      </c>
    </row>
    <row r="24" spans="1:1" x14ac:dyDescent="0.75">
      <c r="A24" t="s">
        <v>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E60A-2839-4D83-9AA9-1D5946344499}">
  <dimension ref="A1:F16"/>
  <sheetViews>
    <sheetView tabSelected="1" topLeftCell="A3" workbookViewId="0">
      <selection activeCell="H7" sqref="H7"/>
    </sheetView>
  </sheetViews>
  <sheetFormatPr defaultRowHeight="14.75" x14ac:dyDescent="0.75"/>
  <cols>
    <col min="1" max="1" width="10.953125" bestFit="1" customWidth="1"/>
  </cols>
  <sheetData>
    <row r="1" spans="1:6" x14ac:dyDescent="0.75">
      <c r="A1" s="1" t="s">
        <v>75</v>
      </c>
      <c r="B1">
        <f>('Mass balance'!B4*16)/('Mass balance'!E7*'Mass balance'!C10*2)</f>
        <v>2.678300936431512</v>
      </c>
    </row>
    <row r="3" spans="1:6" x14ac:dyDescent="0.75">
      <c r="A3" s="1" t="s">
        <v>46</v>
      </c>
      <c r="B3">
        <f>'Mass balance'!B5*18/('Mass balance'!E7*'Mass balance'!C10*2)</f>
        <v>9.039265660456353</v>
      </c>
    </row>
    <row r="5" spans="1:6" x14ac:dyDescent="0.75">
      <c r="A5" s="1" t="s">
        <v>52</v>
      </c>
      <c r="B5">
        <f>'Mass balance'!E8*'Mass balance'!C10*44/('Mass balance'!E7*'Mass balance'!C10*2)</f>
        <v>2.3301647276146071</v>
      </c>
      <c r="D5" s="1" t="s">
        <v>56</v>
      </c>
      <c r="F5">
        <f>('Mass balance'!E8*'Mass balance'!C10*44+E8+E10)/('Mass balance'!E7*'Mass balance'!C10*2)</f>
        <v>16.472817808584043</v>
      </c>
    </row>
    <row r="7" spans="1:6" x14ac:dyDescent="0.75">
      <c r="C7" t="s">
        <v>57</v>
      </c>
      <c r="D7" t="s">
        <v>55</v>
      </c>
      <c r="E7" t="s">
        <v>59</v>
      </c>
    </row>
    <row r="8" spans="1:6" x14ac:dyDescent="0.75">
      <c r="A8" t="s">
        <v>58</v>
      </c>
      <c r="B8" t="s">
        <v>53</v>
      </c>
      <c r="C8">
        <f>'Mass balance'!E4*'Mass balance'!C10*16</f>
        <v>1.7568061911041093</v>
      </c>
      <c r="D8">
        <v>29.8</v>
      </c>
      <c r="E8">
        <f>C8*D8</f>
        <v>52.352824494902457</v>
      </c>
    </row>
    <row r="9" spans="1:6" x14ac:dyDescent="0.75">
      <c r="B9" t="s">
        <v>54</v>
      </c>
      <c r="C9">
        <f>'Mass balance'!E8*'Mass balance'!C10*44</f>
        <v>13.920256359058733</v>
      </c>
      <c r="D9">
        <v>1</v>
      </c>
    </row>
    <row r="10" spans="1:6" x14ac:dyDescent="0.75">
      <c r="B10" t="s">
        <v>13</v>
      </c>
      <c r="C10">
        <f>'Mass balance'!E6*'Mass balance'!C10*28</f>
        <v>16.06724420980316</v>
      </c>
      <c r="D10">
        <v>2</v>
      </c>
      <c r="E10">
        <f>C10*D10</f>
        <v>32.134488419606321</v>
      </c>
    </row>
    <row r="12" spans="1:6" x14ac:dyDescent="0.75">
      <c r="B12" t="s">
        <v>60</v>
      </c>
      <c r="C12">
        <f>SUM(C8:C10)</f>
        <v>31.744306759966001</v>
      </c>
      <c r="D12" t="s">
        <v>61</v>
      </c>
      <c r="F12">
        <f>C12/('Mass balance'!E7*'Mass balance'!C10*2)</f>
        <v>5.3138004075991319</v>
      </c>
    </row>
    <row r="14" spans="1:6" x14ac:dyDescent="0.75">
      <c r="B14" t="s">
        <v>62</v>
      </c>
      <c r="C14">
        <f>(C8/16*12+C9/44*12+C10/28*12)/C12</f>
        <v>0.37802054052519657</v>
      </c>
    </row>
    <row r="15" spans="1:6" x14ac:dyDescent="0.75">
      <c r="B15" t="s">
        <v>63</v>
      </c>
      <c r="C15">
        <f>C8/16*4/C12</f>
        <v>1.38356005408164E-2</v>
      </c>
    </row>
    <row r="16" spans="1:6" x14ac:dyDescent="0.75">
      <c r="B16" t="s">
        <v>64</v>
      </c>
      <c r="C16">
        <f>(C9/44*32+C10/28*16)/C12</f>
        <v>0.60814385893398704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5847-DB11-4E35-8652-DF420B0E2E85}">
  <dimension ref="A1:I23"/>
  <sheetViews>
    <sheetView topLeftCell="A2" workbookViewId="0">
      <selection activeCell="J13" sqref="J13"/>
    </sheetView>
  </sheetViews>
  <sheetFormatPr defaultRowHeight="14.75" x14ac:dyDescent="0.75"/>
  <sheetData>
    <row r="1" spans="1:9" x14ac:dyDescent="0.75">
      <c r="A1" s="1" t="s">
        <v>48</v>
      </c>
    </row>
    <row r="2" spans="1:9" x14ac:dyDescent="0.75">
      <c r="A2" t="s">
        <v>68</v>
      </c>
    </row>
    <row r="4" spans="1:9" x14ac:dyDescent="0.75">
      <c r="A4" t="s">
        <v>69</v>
      </c>
      <c r="B4">
        <v>20</v>
      </c>
      <c r="C4" t="s">
        <v>7</v>
      </c>
      <c r="D4">
        <f>H4/H5*(B5-B4)</f>
        <v>331.32102222222227</v>
      </c>
      <c r="E4" t="s">
        <v>83</v>
      </c>
      <c r="G4" t="s">
        <v>80</v>
      </c>
      <c r="H4">
        <v>33.448</v>
      </c>
      <c r="I4" t="s">
        <v>84</v>
      </c>
    </row>
    <row r="5" spans="1:9" x14ac:dyDescent="0.75">
      <c r="A5" t="s">
        <v>70</v>
      </c>
      <c r="B5">
        <v>198.3</v>
      </c>
      <c r="C5" t="s">
        <v>7</v>
      </c>
      <c r="D5">
        <v>1947.3</v>
      </c>
      <c r="E5" t="s">
        <v>83</v>
      </c>
      <c r="G5" t="s">
        <v>82</v>
      </c>
      <c r="H5">
        <v>18</v>
      </c>
      <c r="I5" t="s">
        <v>81</v>
      </c>
    </row>
    <row r="6" spans="1:9" x14ac:dyDescent="0.75">
      <c r="A6" t="s">
        <v>71</v>
      </c>
      <c r="B6">
        <v>850</v>
      </c>
      <c r="C6" t="s">
        <v>7</v>
      </c>
      <c r="D6">
        <f>H6/H5*(B6-B5)</f>
        <v>1421.3758027777778</v>
      </c>
      <c r="E6" t="s">
        <v>83</v>
      </c>
      <c r="G6" t="s">
        <v>80</v>
      </c>
      <c r="H6">
        <f>(38.587+39.93)/2</f>
        <v>39.258499999999998</v>
      </c>
      <c r="I6" t="s">
        <v>84</v>
      </c>
    </row>
    <row r="7" spans="1:9" x14ac:dyDescent="0.75">
      <c r="A7" t="s">
        <v>60</v>
      </c>
      <c r="D7">
        <f>SUM(D4:D6)</f>
        <v>3699.9968250000002</v>
      </c>
      <c r="E7" t="s">
        <v>83</v>
      </c>
    </row>
    <row r="9" spans="1:9" x14ac:dyDescent="0.75">
      <c r="C9" t="s">
        <v>72</v>
      </c>
      <c r="E9">
        <f>D7/F11*10^-3*Results!B3</f>
        <v>33.445254244020035</v>
      </c>
      <c r="F9" t="s">
        <v>66</v>
      </c>
    </row>
    <row r="11" spans="1:9" x14ac:dyDescent="0.75">
      <c r="C11" t="s">
        <v>73</v>
      </c>
      <c r="F11" s="11">
        <v>1</v>
      </c>
      <c r="G11" s="10">
        <v>1</v>
      </c>
    </row>
    <row r="13" spans="1:9" x14ac:dyDescent="0.75">
      <c r="A13" t="s">
        <v>74</v>
      </c>
      <c r="C13">
        <f>12/16*38.2+4/16*84.9</f>
        <v>49.875</v>
      </c>
      <c r="E13">
        <f>E9/C13</f>
        <v>0.67058153872721871</v>
      </c>
      <c r="F13" t="s">
        <v>75</v>
      </c>
    </row>
    <row r="15" spans="1:9" x14ac:dyDescent="0.75">
      <c r="C15" s="1" t="s">
        <v>76</v>
      </c>
      <c r="E15">
        <f>E13+Results!B1</f>
        <v>3.3488824751587307</v>
      </c>
      <c r="F15" t="s">
        <v>75</v>
      </c>
    </row>
    <row r="19" spans="1:7" x14ac:dyDescent="0.75">
      <c r="A19" t="s">
        <v>49</v>
      </c>
      <c r="C19">
        <f>38.2*Results!C14+Results!C15*84.9-Results!C16*8</f>
        <v>10.749876262505925</v>
      </c>
      <c r="D19" t="s">
        <v>65</v>
      </c>
      <c r="F19">
        <f>C19*Results!F12</f>
        <v>57.122696865344217</v>
      </c>
      <c r="G19" t="s">
        <v>66</v>
      </c>
    </row>
    <row r="21" spans="1:7" x14ac:dyDescent="0.75">
      <c r="A21" t="s">
        <v>50</v>
      </c>
      <c r="D21">
        <f>F19</f>
        <v>57.122696865344217</v>
      </c>
      <c r="E21" t="s">
        <v>66</v>
      </c>
    </row>
    <row r="22" spans="1:7" x14ac:dyDescent="0.75">
      <c r="A22" t="s">
        <v>51</v>
      </c>
      <c r="D22">
        <f>F19*0.5</f>
        <v>28.561348432672109</v>
      </c>
      <c r="E22" t="s">
        <v>66</v>
      </c>
    </row>
    <row r="23" spans="1:7" x14ac:dyDescent="0.75">
      <c r="D23">
        <f>0.35*F19/3.6</f>
        <v>5.5535955285751317</v>
      </c>
      <c r="E23" t="s">
        <v>67</v>
      </c>
    </row>
  </sheetData>
  <phoneticPr fontId="5" type="noConversion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setting</vt:lpstr>
      <vt:lpstr>Mass balance</vt:lpstr>
      <vt:lpstr>Results</vt:lpstr>
      <vt:lpstr>Heat for water vapour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2023-02-27T20:45:20Z</dcterms:created>
  <dcterms:modified xsi:type="dcterms:W3CDTF">2023-03-09T11:57:00Z</dcterms:modified>
</cp:coreProperties>
</file>